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<sst xmlns="http://schemas.openxmlformats.org/spreadsheetml/2006/main" count="94" uniqueCount="71">
  <si>
    <t>Planilha de Cálculo de Implantação de Usinas Fotovoltaicas</t>
  </si>
  <si>
    <t>1º Passo - Calcular o Consumo Médio Diário</t>
  </si>
  <si>
    <t>Sequência</t>
  </si>
  <si>
    <t>Mês</t>
  </si>
  <si>
    <t>Consumo kWh</t>
  </si>
  <si>
    <t>Preencher os campos em amarelo para o calculo do Consumo Médio Mensal e Diário.
Observação: O periodo não necessariamente precisa ser de Janeiro a Dezembro, mais um intervalo de 1 ano, por exemplo: Agosto de 2022 a Julho de 2023</t>
  </si>
  <si>
    <t>Consumo Médio Mensal</t>
  </si>
  <si>
    <t>Consumo Médio Diario</t>
  </si>
  <si>
    <t>2º Passo - Identificar a Irradiação Solar da Região</t>
  </si>
  <si>
    <t>Indice de Irradiação Solar</t>
  </si>
  <si>
    <r>
      <t xml:space="preserve">Obs.: Pode-se usar os seguintes valores médios por região no Brasil: (Nordeste 5,9) - (Centro-Oeste 5,7) - ( Sudeste 5,6) - (Norte 5,5) - (Sul 5,0) ou utilizar sites como </t>
    </r>
    <r>
      <rPr>
        <rFont val="Arial"/>
        <color rgb="FF1155CC"/>
        <sz val="12.0"/>
        <u/>
      </rPr>
      <t>https://www.cresesb.cepel.br/</t>
    </r>
    <r>
      <rPr>
        <rFont val="Arial"/>
        <color rgb="FF000000"/>
        <sz val="12.0"/>
      </rPr>
      <t xml:space="preserve"> para obter a irradiação solar atraves da localização do empreendimento.</t>
    </r>
  </si>
  <si>
    <t>3º Passo - Escolher os Módulos Fotovoltaicos</t>
  </si>
  <si>
    <t>Potência da placa solar</t>
  </si>
  <si>
    <t>Inserir a potencia da placa solar que será utilizada, considerando tamanho e custo, quanto maior a potencia, menos placas serão utilizadas.</t>
  </si>
  <si>
    <t>4º Passo - Calcular a Quant. de Módulos Necessários</t>
  </si>
  <si>
    <t>Quantidade de Módulos Automático</t>
  </si>
  <si>
    <t>Calculo Automático da quantidade necessária de Módulos, para cobrir 100% do Consumo, considerando uma perda de 10%.</t>
  </si>
  <si>
    <t>Quantidade de Módulos Manual</t>
  </si>
  <si>
    <t>Calculo Manual de Módulos, para unidades que se deseja uma geração excedente para uma futuro aumento de carga, ou compensação em outra unidade consumidora, considerando uma perda de 10%.</t>
  </si>
  <si>
    <t>Geração Mensal</t>
  </si>
  <si>
    <t>Excedente de geração mensal</t>
  </si>
  <si>
    <t>5º Passo - Calcular a Potência Mínima do Inversor</t>
  </si>
  <si>
    <t xml:space="preserve">Potência Total do Sistema </t>
  </si>
  <si>
    <t>Calculo Automático da Potência mínima necessária do Inversor para cobrir 100% do Consumo, considerando uma taxa de tolerância de 20 % do Inversor</t>
  </si>
  <si>
    <t>Calculo Automático da Potência mínima necessária do Inversor para cobrir o Consumo excedente, considerando uma taxa de tolerância de 20 % do Inversor</t>
  </si>
  <si>
    <t>Potência mínima do Inversor (20%)</t>
  </si>
  <si>
    <t>6º Passo -Dimensionar os Inversores</t>
  </si>
  <si>
    <t xml:space="preserve">Potência Comercial do Inversor </t>
  </si>
  <si>
    <t>Inserir a potência comercial do fabricante do inversor proxima a Potência mínima calculada</t>
  </si>
  <si>
    <t>7º Passo - Calcular a Área Necessária para Instalação</t>
  </si>
  <si>
    <t>Área do Módulo</t>
  </si>
  <si>
    <t>Área Total</t>
  </si>
  <si>
    <t>8º Passo - Calculo do Payback</t>
  </si>
  <si>
    <t>Cidade</t>
  </si>
  <si>
    <t>São Paulo</t>
  </si>
  <si>
    <t>Potência Instalada (kWp)</t>
  </si>
  <si>
    <t>Escolher a potência instalada do 5º passo</t>
  </si>
  <si>
    <t>Potência das Placas Solares (W)</t>
  </si>
  <si>
    <t>Item selecionado no 3º Passo</t>
  </si>
  <si>
    <t>Valor do kWh (R$)</t>
  </si>
  <si>
    <t>Informar o valor da ultima fatura de Energia Elétrica</t>
  </si>
  <si>
    <t>Quantidade de placas</t>
  </si>
  <si>
    <t>Escolher a quantidade de placas no 4º passo</t>
  </si>
  <si>
    <t>% Taxa de aplicação CDI</t>
  </si>
  <si>
    <t>% Inflação Energetica</t>
  </si>
  <si>
    <t>Valor de Eficiência do Módulo / Ano</t>
  </si>
  <si>
    <t>Custo do Sistema Instalado</t>
  </si>
  <si>
    <t xml:space="preserve">Preço por Watt </t>
  </si>
  <si>
    <t>Estimativa de Geração</t>
  </si>
  <si>
    <t>Economia</t>
  </si>
  <si>
    <t>Retorno do Investimento</t>
  </si>
  <si>
    <t>Mes de Ref.</t>
  </si>
  <si>
    <t>Radiacao solar no plano inclinado(kWh/m²)</t>
  </si>
  <si>
    <t>Total Gerado (kWh/mês)</t>
  </si>
  <si>
    <t>Total</t>
  </si>
  <si>
    <t>Ano</t>
  </si>
  <si>
    <t>Valor acumulado gerado pela economia do Sistema fotovoltaico</t>
  </si>
  <si>
    <t>Poupança acumulada pela economia do Sistema fotovoltaico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</si>
  <si>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</si>
  <si>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</si>
  <si>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</si>
  <si>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</si>
  <si>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</si>
  <si>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</si>
  <si>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</si>
  <si>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</si>
  <si>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</si>
  <si>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</si>
  <si>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</si>
  <si>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</si>
  <si>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Média Geração Mensal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</si>
</sst>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3">
    <numFmt numFmtId="164" formatCode="mmm/yyyy"/>
    <numFmt numFmtId="165" formatCode="0 &quot;W&quot;"/>
    <numFmt numFmtId="166" formatCode="mmmyyyy"/>
    <numFmt numFmtId="167" formatCode="#,##0 &quot;kWh&quot;"/>
    <numFmt numFmtId="168" formatCode="#,##0.00 &quot;kWh&quot;"/>
    <numFmt numFmtId="169" formatCode="0.00 &quot;kWh/m2 dia&quot;"/>
    <numFmt numFmtId="170" formatCode="0 &quot;Unidades&quot;"/>
    <numFmt numFmtId="171" formatCode="0.00 &quot;kW&quot;"/>
    <numFmt numFmtId="172" formatCode="0.00 &quot;m2&quot;"/>
    <numFmt numFmtId="173" formatCode="0.00 &quot;kWp&quot;"/>
    <numFmt numFmtId="174" formatCode="[$R$ -416]#,##0.00"/>
    <numFmt numFmtId="175" formatCode="0.000"/>
    <numFmt numFmtId="176" formatCode="0 &quot;kWp&quot;"/>
  </numFmts>
  <fonts count="13">
    <font>
      <sz val="10.0"/>
      <color rgb="FF000000"/>
      <name val="Arial"/>
      <scheme val="minor"/>
    </font>
    <font>
      <sz val="29.0"/>
      <color rgb="FFFFFFFF"/>
      <name val="Arial"/>
      <scheme val="minor"/>
    </font>
    <font>
      <sz val="16.0"/>
      <color rgb="FFFFFFFF"/>
      <name val="Arial"/>
      <scheme val="minor"/>
    </font>
    <font/>
    <font>
      <sz val="12.0"/>
      <color rgb="FFFFFFFF"/>
      <name val="Arial"/>
      <scheme val="minor"/>
    </font>
    <font>
      <sz val="12.0"/>
      <color theme="1"/>
      <name val="Arial"/>
      <scheme val="minor"/>
    </font>
    <font>
      <sz val="12.0"/>
      <color rgb="FF000000"/>
      <name val="Arial"/>
    </font>
    <font>
      <u/>
      <sz val="12.0"/>
      <color rgb="FF000000"/>
      <name val="Arial"/>
    </font>
    <font>
      <color theme="1"/>
      <name val="Arial"/>
    </font>
    <font>
      <color theme="1"/>
      <name val="Arial"/>
      <scheme val="minor"/>
    </font>
    <font>
      <sz val="14.0"/>
      <color rgb="FFFFFFFF"/>
      <name val="Arial"/>
      <scheme val="minor"/>
    </font>
    <font>
      <sz val="9.0"/>
      <color rgb="FFFFFFFF"/>
      <name val="Arial"/>
      <scheme val="minor"/>
    </font>
    <font>
      <b/>
      <sz val="12.0"/>
      <color rgb="FF000000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45818E"/>
        <bgColor rgb="FF45818E"/>
      </patternFill>
    </fill>
    <fill>
      <patternFill patternType="solid">
        <fgColor rgb="FFFFFF00"/>
        <bgColor rgb="FFFFFF00"/>
      </patternFill>
    </fill>
    <fill>
      <patternFill patternType="solid">
        <fgColor rgb="FFB6D7A8"/>
        <bgColor rgb="FFB6D7A8"/>
      </patternFill>
    </fill>
    <fill>
      <patternFill patternType="solid">
        <fgColor rgb="FF93C47D"/>
        <bgColor rgb="FF93C47D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1" fillId="2" fontId="2" numFmtId="0" xfId="0" applyAlignment="1" applyBorder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4" fillId="2" fontId="4" numFmtId="0" xfId="0" applyAlignment="1" applyBorder="1" applyFont="1">
      <alignment horizontal="center" readingOrder="0"/>
    </xf>
    <xf borderId="4" fillId="3" fontId="5" numFmtId="164" xfId="0" applyAlignment="1" applyBorder="1" applyFill="1" applyFont="1" applyNumberFormat="1">
      <alignment horizontal="center" readingOrder="0"/>
    </xf>
    <xf borderId="4" fillId="3" fontId="5" numFmtId="165" xfId="0" applyAlignment="1" applyBorder="1" applyFont="1" applyNumberFormat="1">
      <alignment horizontal="center" readingOrder="0"/>
    </xf>
    <xf borderId="0" fillId="3" fontId="5" numFmtId="0" xfId="0" applyAlignment="1" applyFont="1">
      <alignment readingOrder="0" shrinkToFit="0" vertical="center" wrapText="1"/>
    </xf>
    <xf borderId="4" fillId="3" fontId="5" numFmtId="166" xfId="0" applyAlignment="1" applyBorder="1" applyFont="1" applyNumberFormat="1">
      <alignment horizontal="center" readingOrder="0"/>
    </xf>
    <xf borderId="1" fillId="4" fontId="5" numFmtId="0" xfId="0" applyAlignment="1" applyBorder="1" applyFill="1" applyFont="1">
      <alignment readingOrder="0"/>
    </xf>
    <xf borderId="4" fillId="4" fontId="5" numFmtId="167" xfId="0" applyAlignment="1" applyBorder="1" applyFont="1" applyNumberFormat="1">
      <alignment horizontal="center"/>
    </xf>
    <xf borderId="4" fillId="4" fontId="5" numFmtId="168" xfId="0" applyAlignment="1" applyBorder="1" applyFont="1" applyNumberFormat="1">
      <alignment horizontal="center"/>
    </xf>
    <xf borderId="0" fillId="0" fontId="6" numFmtId="0" xfId="0" applyAlignment="1" applyFont="1">
      <alignment horizontal="left" readingOrder="0" shrinkToFit="0" vertical="center" wrapText="1"/>
    </xf>
    <xf borderId="1" fillId="2" fontId="4" numFmtId="0" xfId="0" applyAlignment="1" applyBorder="1" applyFont="1">
      <alignment readingOrder="0"/>
    </xf>
    <xf borderId="4" fillId="3" fontId="5" numFmtId="169" xfId="0" applyAlignment="1" applyBorder="1" applyFont="1" applyNumberFormat="1">
      <alignment horizontal="center" readingOrder="0"/>
    </xf>
    <xf borderId="0" fillId="3" fontId="7" numFmtId="0" xfId="0" applyAlignment="1" applyFont="1">
      <alignment horizontal="left" readingOrder="0" shrinkToFit="0" vertical="center" wrapText="1"/>
    </xf>
    <xf borderId="0" fillId="3" fontId="6" numFmtId="0" xfId="0" applyAlignment="1" applyFont="1">
      <alignment horizontal="left" readingOrder="0" shrinkToFit="0" wrapText="1"/>
    </xf>
    <xf borderId="4" fillId="5" fontId="5" numFmtId="170" xfId="0" applyAlignment="1" applyBorder="1" applyFill="1" applyFont="1" applyNumberFormat="1">
      <alignment horizontal="center"/>
    </xf>
    <xf borderId="0" fillId="3" fontId="6" numFmtId="0" xfId="0" applyAlignment="1" applyFont="1">
      <alignment horizontal="left" readingOrder="0" shrinkToFit="0" vertical="center" wrapText="1"/>
    </xf>
    <xf borderId="4" fillId="3" fontId="5" numFmtId="170" xfId="0" applyAlignment="1" applyBorder="1" applyFont="1" applyNumberFormat="1">
      <alignment horizontal="center" readingOrder="0"/>
    </xf>
    <xf borderId="4" fillId="5" fontId="5" numFmtId="167" xfId="0" applyAlignment="1" applyBorder="1" applyFont="1" applyNumberFormat="1">
      <alignment horizontal="center" readingOrder="0"/>
    </xf>
    <xf borderId="4" fillId="5" fontId="5" numFmtId="10" xfId="0" applyAlignment="1" applyBorder="1" applyFont="1" applyNumberFormat="1">
      <alignment horizontal="center" readingOrder="0"/>
    </xf>
    <xf borderId="4" fillId="5" fontId="5" numFmtId="171" xfId="0" applyAlignment="1" applyBorder="1" applyFont="1" applyNumberFormat="1">
      <alignment horizontal="center"/>
    </xf>
    <xf borderId="4" fillId="5" fontId="5" numFmtId="171" xfId="0" applyAlignment="1" applyBorder="1" applyFont="1" applyNumberFormat="1">
      <alignment horizontal="center" readingOrder="0"/>
    </xf>
    <xf borderId="4" fillId="3" fontId="5" numFmtId="171" xfId="0" applyAlignment="1" applyBorder="1" applyFont="1" applyNumberFormat="1">
      <alignment horizontal="center" readingOrder="0"/>
    </xf>
    <xf borderId="0" fillId="0" fontId="8" numFmtId="0" xfId="0" applyAlignment="1" applyFont="1">
      <alignment vertical="bottom"/>
    </xf>
    <xf borderId="0" fillId="0" fontId="8" numFmtId="0" xfId="0" applyAlignment="1" applyFont="1">
      <alignment vertical="bottom"/>
    </xf>
    <xf borderId="4" fillId="3" fontId="5" numFmtId="172" xfId="0" applyAlignment="1" applyBorder="1" applyFont="1" applyNumberFormat="1">
      <alignment horizontal="center" readingOrder="0"/>
    </xf>
    <xf borderId="4" fillId="5" fontId="5" numFmtId="172" xfId="0" applyAlignment="1" applyBorder="1" applyFont="1" applyNumberFormat="1">
      <alignment horizontal="center" readingOrder="0"/>
    </xf>
    <xf borderId="4" fillId="3" fontId="5" numFmtId="173" xfId="0" applyAlignment="1" applyBorder="1" applyFont="1" applyNumberFormat="1">
      <alignment horizontal="center" readingOrder="0"/>
    </xf>
    <xf borderId="0" fillId="0" fontId="9" numFmtId="0" xfId="0" applyAlignment="1" applyFont="1">
      <alignment readingOrder="0"/>
    </xf>
    <xf borderId="4" fillId="5" fontId="5" numFmtId="165" xfId="0" applyAlignment="1" applyBorder="1" applyFont="1" applyNumberFormat="1">
      <alignment horizontal="center" readingOrder="0"/>
    </xf>
    <xf borderId="4" fillId="3" fontId="5" numFmtId="174" xfId="0" applyAlignment="1" applyBorder="1" applyFont="1" applyNumberFormat="1">
      <alignment horizontal="center" readingOrder="0"/>
    </xf>
    <xf borderId="4" fillId="3" fontId="5" numFmtId="4" xfId="0" applyAlignment="1" applyBorder="1" applyFont="1" applyNumberFormat="1">
      <alignment horizontal="center" readingOrder="0"/>
    </xf>
    <xf borderId="4" fillId="3" fontId="5" numFmtId="175" xfId="0" applyAlignment="1" applyBorder="1" applyFont="1" applyNumberFormat="1">
      <alignment horizontal="center" readingOrder="0"/>
    </xf>
    <xf borderId="4" fillId="5" fontId="5" numFmtId="174" xfId="0" applyAlignment="1" applyBorder="1" applyFont="1" applyNumberFormat="1">
      <alignment horizontal="center" readingOrder="0"/>
    </xf>
    <xf borderId="1" fillId="2" fontId="10" numFmtId="0" xfId="0" applyAlignment="1" applyBorder="1" applyFont="1">
      <alignment horizontal="center" readingOrder="0" vertical="center"/>
    </xf>
    <xf borderId="1" fillId="2" fontId="4" numFmtId="0" xfId="0" applyAlignment="1" applyBorder="1" applyFont="1">
      <alignment horizontal="left" readingOrder="0" shrinkToFit="0" vertical="center" wrapText="1"/>
    </xf>
    <xf borderId="1" fillId="2" fontId="4" numFmtId="0" xfId="0" applyAlignment="1" applyBorder="1" applyFont="1">
      <alignment horizontal="center" readingOrder="0" shrinkToFit="0" vertical="center" wrapText="1"/>
    </xf>
    <xf borderId="1" fillId="2" fontId="11" numFmtId="0" xfId="0" applyAlignment="1" applyBorder="1" applyFont="1">
      <alignment horizontal="center" readingOrder="0" shrinkToFit="0" vertical="center" wrapText="1"/>
    </xf>
    <xf borderId="5" fillId="3" fontId="12" numFmtId="0" xfId="0" applyAlignment="1" applyBorder="1" applyFont="1">
      <alignment horizontal="center" readingOrder="0"/>
    </xf>
    <xf borderId="4" fillId="5" fontId="5" numFmtId="176" xfId="0" applyAlignment="1" applyBorder="1" applyFont="1" applyNumberFormat="1">
      <alignment horizontal="center"/>
    </xf>
    <xf borderId="4" fillId="2" fontId="4" numFmtId="0" xfId="0" applyAlignment="1" applyBorder="1" applyFont="1">
      <alignment readingOrder="0"/>
    </xf>
    <xf borderId="1" fillId="5" fontId="5" numFmtId="174" xfId="0" applyAlignment="1" applyBorder="1" applyFont="1" applyNumberFormat="1">
      <alignment horizontal="center" readingOrder="0"/>
    </xf>
    <xf borderId="4" fillId="5" fontId="5" numFmtId="174" xfId="0" applyBorder="1" applyFont="1" applyNumberFormat="1"/>
    <xf borderId="1" fillId="2" fontId="4" numFmtId="0" xfId="0" applyAlignment="1" applyBorder="1" applyFon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Estimativa de Produção Mensal</a:t>
            </a:r>
          </a:p>
        </c:rich>
      </c:tx>
      <c:overlay val="0"/>
    </c:title>
    <c:view3D>
      <c:rotX val="15"/>
      <c:rotY val="20"/>
      <c:depthPercent val="100"/>
      <c:rAngAx val="1"/>
    </c:view3D>
    <c:plotArea>
      <c:layout/>
      <c:bar3DChart>
        <c:barDir val="col"/>
        <c:grouping val="clustered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'Página1'!$B$76:$B$87</c:f>
            </c:strRef>
          </c:cat>
          <c:val>
            <c:numRef>
              <c:f>'Página1'!$D$76:$D$87</c:f>
              <c:numCache/>
            </c:numRef>
          </c:val>
        </c:ser>
        <c:axId val="1370698275"/>
        <c:axId val="1692909058"/>
      </c:bar3DChart>
      <c:catAx>
        <c:axId val="137069827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92909058"/>
      </c:catAx>
      <c:valAx>
        <c:axId val="169290905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70698275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r>
              <a:rPr b="0">
                <a:solidFill>
                  <a:srgbClr val="000000"/>
                </a:solidFill>
                <a:latin typeface="+mn-lt"/>
              </a:rPr>
              <a:t>Retorno do Investimento versus Ano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'Página1'!$M$75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'Página1'!$J$76:$J$100</c:f>
            </c:strRef>
          </c:cat>
          <c:val>
            <c:numRef>
              <c:f>'Página1'!$M$76:$M$100</c:f>
              <c:numCache/>
            </c:numRef>
          </c:val>
        </c:ser>
        <c:axId val="1707633610"/>
        <c:axId val="1929320481"/>
      </c:barChart>
      <c:catAx>
        <c:axId val="17076336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Ano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929320481"/>
      </c:catAx>
      <c:valAx>
        <c:axId val="192932048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Retorno do Investimento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0763361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571500</xdr:colOff>
      <xdr:row>90</xdr:row>
      <xdr:rowOff>19050</xdr:rowOff>
    </xdr:from>
    <xdr:ext cx="8743950" cy="3629025"/>
    <xdr:graphicFrame>
      <xdr:nvGraphicFramePr>
        <xdr:cNvPr id="1" name="Chart 1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571500</xdr:colOff>
      <xdr:row>108</xdr:row>
      <xdr:rowOff>9525</xdr:rowOff>
    </xdr:from>
    <xdr:ext cx="14582775" cy="6543675"/>
    <xdr:graphicFrame>
      <xdr:nvGraphicFramePr>
        <xdr:cNvPr id="2" name="Chart 2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4</xdr:col>
      <xdr:colOff>180975</xdr:colOff>
      <xdr:row>10</xdr:row>
      <xdr:rowOff>57150</xdr:rowOff>
    </xdr:from>
    <xdr:ext cx="695325" cy="342900"/>
    <xdr:sp>
      <xdr:nvSpPr>
        <xdr:cNvPr id="3" name="Shape 3"/>
        <xdr:cNvSpPr/>
      </xdr:nvSpPr>
      <xdr:spPr>
        <a:xfrm>
          <a:off x="2078800" y="1579375"/>
          <a:ext cx="676800" cy="328500"/>
        </a:xfrm>
        <a:prstGeom prst="rightArrow">
          <a:avLst>
            <a:gd fmla="val 50000" name="adj1"/>
            <a:gd fmla="val 50000" name="adj2"/>
          </a:avLst>
        </a:prstGeom>
        <a:solidFill>
          <a:srgbClr val="FFFF0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4</xdr:col>
      <xdr:colOff>180975</xdr:colOff>
      <xdr:row>21</xdr:row>
      <xdr:rowOff>123825</xdr:rowOff>
    </xdr:from>
    <xdr:ext cx="695325" cy="342900"/>
    <xdr:sp>
      <xdr:nvSpPr>
        <xdr:cNvPr id="4" name="Shape 4"/>
        <xdr:cNvSpPr/>
      </xdr:nvSpPr>
      <xdr:spPr>
        <a:xfrm>
          <a:off x="2078800" y="1957500"/>
          <a:ext cx="766200" cy="358200"/>
        </a:xfrm>
        <a:prstGeom prst="rightArrow">
          <a:avLst>
            <a:gd fmla="val 50000" name="adj1"/>
            <a:gd fmla="val 50000" name="adj2"/>
          </a:avLst>
        </a:prstGeom>
        <a:solidFill>
          <a:srgbClr val="FFFF0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4</xdr:col>
      <xdr:colOff>180975</xdr:colOff>
      <xdr:row>29</xdr:row>
      <xdr:rowOff>142875</xdr:rowOff>
    </xdr:from>
    <xdr:ext cx="695325" cy="333375"/>
    <xdr:sp>
      <xdr:nvSpPr>
        <xdr:cNvPr id="5" name="Shape 5"/>
        <xdr:cNvSpPr/>
      </xdr:nvSpPr>
      <xdr:spPr>
        <a:xfrm>
          <a:off x="2606200" y="1410200"/>
          <a:ext cx="726300" cy="318300"/>
        </a:xfrm>
        <a:prstGeom prst="rightArrow">
          <a:avLst>
            <a:gd fmla="val 50000" name="adj1"/>
            <a:gd fmla="val 50000" name="adj2"/>
          </a:avLst>
        </a:prstGeom>
        <a:solidFill>
          <a:srgbClr val="FFFF0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4</xdr:col>
      <xdr:colOff>180975</xdr:colOff>
      <xdr:row>36</xdr:row>
      <xdr:rowOff>180975</xdr:rowOff>
    </xdr:from>
    <xdr:ext cx="695325" cy="333375"/>
    <xdr:sp>
      <xdr:nvSpPr>
        <xdr:cNvPr id="6" name="Shape 6"/>
        <xdr:cNvSpPr/>
      </xdr:nvSpPr>
      <xdr:spPr>
        <a:xfrm>
          <a:off x="1781700" y="1134350"/>
          <a:ext cx="696600" cy="348300"/>
        </a:xfrm>
        <a:prstGeom prst="rightArrow">
          <a:avLst>
            <a:gd fmla="val 50000" name="adj1"/>
            <a:gd fmla="val 50000" name="adj2"/>
          </a:avLst>
        </a:prstGeom>
        <a:solidFill>
          <a:srgbClr val="FFFF0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4</xdr:col>
      <xdr:colOff>180975</xdr:colOff>
      <xdr:row>44</xdr:row>
      <xdr:rowOff>190500</xdr:rowOff>
    </xdr:from>
    <xdr:ext cx="695325" cy="333375"/>
    <xdr:sp>
      <xdr:nvSpPr>
        <xdr:cNvPr id="7" name="Shape 7"/>
        <xdr:cNvSpPr/>
      </xdr:nvSpPr>
      <xdr:spPr>
        <a:xfrm>
          <a:off x="1587025" y="1042150"/>
          <a:ext cx="758100" cy="379200"/>
        </a:xfrm>
        <a:prstGeom prst="rightArrow">
          <a:avLst>
            <a:gd fmla="val 50000" name="adj1"/>
            <a:gd fmla="val 50000" name="adj2"/>
          </a:avLst>
        </a:prstGeom>
        <a:solidFill>
          <a:srgbClr val="FFFF0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12</xdr:col>
      <xdr:colOff>209550</xdr:colOff>
      <xdr:row>36</xdr:row>
      <xdr:rowOff>171450</xdr:rowOff>
    </xdr:from>
    <xdr:ext cx="695325" cy="342900"/>
    <xdr:sp>
      <xdr:nvSpPr>
        <xdr:cNvPr id="8" name="Shape 8"/>
        <xdr:cNvSpPr/>
      </xdr:nvSpPr>
      <xdr:spPr>
        <a:xfrm>
          <a:off x="2802000" y="1180850"/>
          <a:ext cx="710400" cy="340200"/>
        </a:xfrm>
        <a:prstGeom prst="rightArrow">
          <a:avLst>
            <a:gd fmla="val 50000" name="adj1"/>
            <a:gd fmla="val 50000" name="adj2"/>
          </a:avLst>
        </a:prstGeom>
        <a:solidFill>
          <a:srgbClr val="FFFF0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12</xdr:col>
      <xdr:colOff>209550</xdr:colOff>
      <xdr:row>44</xdr:row>
      <xdr:rowOff>180975</xdr:rowOff>
    </xdr:from>
    <xdr:ext cx="695325" cy="342900"/>
    <xdr:sp>
      <xdr:nvSpPr>
        <xdr:cNvPr id="9" name="Shape 9"/>
        <xdr:cNvSpPr/>
      </xdr:nvSpPr>
      <xdr:spPr>
        <a:xfrm>
          <a:off x="2291625" y="1551100"/>
          <a:ext cx="920700" cy="390300"/>
        </a:xfrm>
        <a:prstGeom prst="rightArrow">
          <a:avLst>
            <a:gd fmla="val 50000" name="adj1"/>
            <a:gd fmla="val 50000" name="adj2"/>
          </a:avLst>
        </a:prstGeom>
        <a:solidFill>
          <a:srgbClr val="FFFF0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cresesb.cepel.br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14.63"/>
    <col customWidth="1" min="3" max="3" width="24.13"/>
    <col customWidth="1" min="4" max="4" width="22.88"/>
    <col customWidth="1" min="9" max="9" width="8.63"/>
    <col customWidth="1" min="10" max="10" width="19.13"/>
    <col customWidth="1" min="11" max="11" width="15.5"/>
    <col customWidth="1" min="12" max="12" width="19.13"/>
    <col customWidth="1" min="13" max="13" width="15.5"/>
  </cols>
  <sheetData>
    <row r="1" ht="54.0" customHeight="1">
      <c r="A1" s="1" t="s">
        <v>0</v>
      </c>
    </row>
    <row r="3" ht="36.0" customHeight="1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"/>
    </row>
    <row r="5">
      <c r="B5" s="5" t="s">
        <v>2</v>
      </c>
      <c r="C5" s="5" t="s">
        <v>3</v>
      </c>
      <c r="D5" s="5" t="s">
        <v>4</v>
      </c>
    </row>
    <row r="6">
      <c r="B6" s="5">
        <v>1.0</v>
      </c>
      <c r="C6" s="6">
        <v>44927.0</v>
      </c>
      <c r="D6" s="7">
        <v>9809.0</v>
      </c>
    </row>
    <row r="7">
      <c r="B7" s="5">
        <v>2.0</v>
      </c>
      <c r="C7" s="6">
        <v>44958.0</v>
      </c>
      <c r="D7" s="7">
        <v>11190.0</v>
      </c>
    </row>
    <row r="8">
      <c r="B8" s="5">
        <v>3.0</v>
      </c>
      <c r="C8" s="6">
        <v>44986.0</v>
      </c>
      <c r="D8" s="7">
        <v>8242.0</v>
      </c>
      <c r="F8" s="8" t="s">
        <v>5</v>
      </c>
    </row>
    <row r="9">
      <c r="B9" s="5">
        <v>4.0</v>
      </c>
      <c r="C9" s="6">
        <v>45017.0</v>
      </c>
      <c r="D9" s="7">
        <v>9487.0</v>
      </c>
    </row>
    <row r="10">
      <c r="B10" s="5">
        <v>5.0</v>
      </c>
      <c r="C10" s="6">
        <v>45047.0</v>
      </c>
      <c r="D10" s="7">
        <v>13354.0</v>
      </c>
    </row>
    <row r="11">
      <c r="B11" s="5">
        <v>6.0</v>
      </c>
      <c r="C11" s="6">
        <v>45078.0</v>
      </c>
      <c r="D11" s="7">
        <v>7925.0</v>
      </c>
    </row>
    <row r="12">
      <c r="B12" s="5">
        <v>7.0</v>
      </c>
      <c r="C12" s="6">
        <v>45108.0</v>
      </c>
      <c r="D12" s="7">
        <v>7782.0</v>
      </c>
    </row>
    <row r="13">
      <c r="B13" s="5">
        <v>8.0</v>
      </c>
      <c r="C13" s="9">
        <v>45139.0</v>
      </c>
      <c r="D13" s="7">
        <v>11900.0</v>
      </c>
    </row>
    <row r="14">
      <c r="B14" s="5">
        <v>9.0</v>
      </c>
      <c r="C14" s="6">
        <v>45170.0</v>
      </c>
      <c r="D14" s="7">
        <v>11078.0</v>
      </c>
    </row>
    <row r="15">
      <c r="B15" s="5">
        <v>10.0</v>
      </c>
      <c r="C15" s="6">
        <v>45200.0</v>
      </c>
      <c r="D15" s="7">
        <v>8273.0</v>
      </c>
    </row>
    <row r="16">
      <c r="B16" s="5">
        <v>11.0</v>
      </c>
      <c r="C16" s="9">
        <v>45231.0</v>
      </c>
      <c r="D16" s="7">
        <v>10746.0</v>
      </c>
    </row>
    <row r="17">
      <c r="B17" s="5">
        <v>12.0</v>
      </c>
      <c r="C17" s="9">
        <v>45261.0</v>
      </c>
      <c r="D17" s="7">
        <v>10211.0</v>
      </c>
    </row>
    <row r="18">
      <c r="B18" s="10" t="s">
        <v>6</v>
      </c>
      <c r="C18" s="4"/>
      <c r="D18" s="11">
        <f>AVERAGE(D6:D17)</f>
        <v>9999.75</v>
      </c>
    </row>
    <row r="19">
      <c r="B19" s="10" t="s">
        <v>7</v>
      </c>
      <c r="C19" s="4"/>
      <c r="D19" s="12">
        <f>D18/30</f>
        <v>333.325</v>
      </c>
    </row>
    <row r="21" ht="36.0" customHeight="1">
      <c r="A21" s="2" t="s">
        <v>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</row>
    <row r="22">
      <c r="C22" s="13"/>
      <c r="D22" s="13"/>
      <c r="E22" s="13"/>
      <c r="F22" s="13"/>
      <c r="G22" s="13"/>
      <c r="H22" s="13"/>
      <c r="I22" s="13"/>
      <c r="J22" s="13"/>
    </row>
    <row r="23">
      <c r="B23" s="14" t="s">
        <v>9</v>
      </c>
      <c r="C23" s="4"/>
      <c r="D23" s="15">
        <v>4.5</v>
      </c>
      <c r="F23" s="16" t="s">
        <v>10</v>
      </c>
    </row>
    <row r="25" ht="16.5" customHeight="1"/>
    <row r="26" ht="16.5" customHeight="1"/>
    <row r="27" ht="16.5" customHeight="1"/>
    <row r="29" ht="36.0" customHeight="1">
      <c r="A29" s="2" t="s">
        <v>11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</row>
    <row r="31">
      <c r="B31" s="14" t="s">
        <v>12</v>
      </c>
      <c r="C31" s="4"/>
      <c r="D31" s="7">
        <v>470.0</v>
      </c>
      <c r="F31" s="17" t="s">
        <v>13</v>
      </c>
    </row>
    <row r="35" ht="36.0" customHeight="1">
      <c r="A35" s="2" t="s">
        <v>14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4"/>
    </row>
    <row r="37">
      <c r="B37" s="14" t="s">
        <v>15</v>
      </c>
      <c r="C37" s="4"/>
      <c r="D37" s="18">
        <f>ROUNDUP((((D19*1.1)/D23)*1000)/D31)</f>
        <v>174</v>
      </c>
      <c r="F37" s="19" t="s">
        <v>16</v>
      </c>
      <c r="J37" s="14" t="s">
        <v>17</v>
      </c>
      <c r="K37" s="4"/>
      <c r="L37" s="20">
        <v>180.0</v>
      </c>
      <c r="N37" s="19" t="s">
        <v>18</v>
      </c>
    </row>
    <row r="38">
      <c r="B38" s="14" t="s">
        <v>19</v>
      </c>
      <c r="C38" s="4"/>
      <c r="D38" s="21">
        <f>(((D37*D31)*30*D23)/1000)*0.9</f>
        <v>9936.27</v>
      </c>
      <c r="J38" s="14" t="s">
        <v>19</v>
      </c>
      <c r="K38" s="4"/>
      <c r="L38" s="21">
        <f>(((L37*D31)*30*D23)/1000)*0.9</f>
        <v>10278.9</v>
      </c>
    </row>
    <row r="39">
      <c r="B39" s="14" t="s">
        <v>20</v>
      </c>
      <c r="C39" s="4"/>
      <c r="D39" s="22">
        <f>((D38-D18)/D18)</f>
        <v>-0.006348158704</v>
      </c>
      <c r="J39" s="14" t="s">
        <v>20</v>
      </c>
      <c r="K39" s="4"/>
      <c r="L39" s="22">
        <f>((L38-D18)/D18)</f>
        <v>0.02791569789</v>
      </c>
    </row>
    <row r="40" ht="18.75" customHeight="1"/>
    <row r="41" ht="18.75" customHeight="1"/>
    <row r="42" ht="18.0" customHeight="1"/>
    <row r="43" ht="36.0" customHeight="1">
      <c r="A43" s="2" t="s">
        <v>21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4"/>
    </row>
    <row r="45">
      <c r="B45" s="14" t="s">
        <v>22</v>
      </c>
      <c r="C45" s="4"/>
      <c r="D45" s="23">
        <f>(D37*D31)/1000</f>
        <v>81.78</v>
      </c>
      <c r="F45" s="17" t="s">
        <v>23</v>
      </c>
      <c r="J45" s="14" t="s">
        <v>22</v>
      </c>
      <c r="K45" s="4"/>
      <c r="L45" s="24">
        <f>(L37*D31)/1000</f>
        <v>84.6</v>
      </c>
      <c r="N45" s="17" t="s">
        <v>24</v>
      </c>
    </row>
    <row r="46">
      <c r="B46" s="14" t="s">
        <v>25</v>
      </c>
      <c r="C46" s="4"/>
      <c r="D46" s="23">
        <f>(((D37*D31)/1000)/1.2)</f>
        <v>68.15</v>
      </c>
      <c r="J46" s="14" t="s">
        <v>25</v>
      </c>
      <c r="K46" s="4"/>
      <c r="L46" s="23">
        <f>(((L37*D31)/1000)/1.2)</f>
        <v>70.5</v>
      </c>
    </row>
    <row r="50" ht="36.0" customHeight="1">
      <c r="A50" s="2" t="s">
        <v>26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4"/>
    </row>
    <row r="52">
      <c r="B52" s="14" t="s">
        <v>27</v>
      </c>
      <c r="C52" s="4"/>
      <c r="D52" s="25">
        <v>68.8</v>
      </c>
      <c r="F52" s="17" t="s">
        <v>28</v>
      </c>
      <c r="J52" s="14" t="s">
        <v>27</v>
      </c>
      <c r="K52" s="4"/>
      <c r="L52" s="25">
        <v>178.0</v>
      </c>
    </row>
    <row r="55" ht="18.0" customHeight="1">
      <c r="J55" s="26"/>
      <c r="K55" s="26"/>
      <c r="L55" s="26"/>
      <c r="M55" s="27"/>
    </row>
    <row r="56" ht="36.0" customHeight="1">
      <c r="A56" s="2" t="s">
        <v>29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4"/>
    </row>
    <row r="58">
      <c r="B58" s="14" t="s">
        <v>30</v>
      </c>
      <c r="C58" s="4"/>
      <c r="D58" s="28">
        <v>2.0</v>
      </c>
      <c r="J58" s="14" t="s">
        <v>30</v>
      </c>
      <c r="K58" s="4"/>
      <c r="L58" s="28">
        <v>2.0</v>
      </c>
    </row>
    <row r="59">
      <c r="B59" s="14" t="s">
        <v>31</v>
      </c>
      <c r="C59" s="4"/>
      <c r="D59" s="29">
        <f>D58*D37</f>
        <v>348</v>
      </c>
      <c r="J59" s="14" t="s">
        <v>31</v>
      </c>
      <c r="K59" s="4"/>
      <c r="L59" s="29">
        <f>L58*L37</f>
        <v>360</v>
      </c>
    </row>
    <row r="61" ht="36.0" customHeight="1">
      <c r="A61" s="2" t="s">
        <v>32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4"/>
    </row>
    <row r="63">
      <c r="B63" s="14" t="s">
        <v>33</v>
      </c>
      <c r="C63" s="4"/>
      <c r="D63" s="28" t="s">
        <v>34</v>
      </c>
    </row>
    <row r="64">
      <c r="B64" s="14" t="s">
        <v>35</v>
      </c>
      <c r="C64" s="4"/>
      <c r="D64" s="30">
        <v>81.78</v>
      </c>
      <c r="E64" s="31" t="s">
        <v>36</v>
      </c>
    </row>
    <row r="65">
      <c r="B65" s="14" t="s">
        <v>37</v>
      </c>
      <c r="C65" s="4"/>
      <c r="D65" s="32">
        <f>D31</f>
        <v>470</v>
      </c>
      <c r="E65" s="31" t="s">
        <v>38</v>
      </c>
    </row>
    <row r="66">
      <c r="B66" s="14" t="s">
        <v>39</v>
      </c>
      <c r="C66" s="4"/>
      <c r="D66" s="33">
        <v>1.12</v>
      </c>
      <c r="E66" s="31" t="s">
        <v>40</v>
      </c>
    </row>
    <row r="67">
      <c r="B67" s="14" t="s">
        <v>41</v>
      </c>
      <c r="C67" s="4"/>
      <c r="D67" s="20">
        <v>174.0</v>
      </c>
      <c r="E67" s="31" t="s">
        <v>42</v>
      </c>
    </row>
    <row r="68">
      <c r="B68" s="14" t="s">
        <v>43</v>
      </c>
      <c r="C68" s="4"/>
      <c r="D68" s="34">
        <v>4.0</v>
      </c>
    </row>
    <row r="69">
      <c r="B69" s="14" t="s">
        <v>44</v>
      </c>
      <c r="C69" s="4"/>
      <c r="D69" s="34">
        <v>8.0</v>
      </c>
    </row>
    <row r="70">
      <c r="B70" s="14" t="s">
        <v>45</v>
      </c>
      <c r="C70" s="4"/>
      <c r="D70" s="35">
        <v>0.995</v>
      </c>
    </row>
    <row r="71">
      <c r="B71" s="14" t="s">
        <v>46</v>
      </c>
      <c r="C71" s="4"/>
      <c r="D71" s="33">
        <v>368010.0</v>
      </c>
    </row>
    <row r="72">
      <c r="B72" s="14" t="s">
        <v>47</v>
      </c>
      <c r="C72" s="4"/>
      <c r="D72" s="36">
        <f>D71/(D64*1000)</f>
        <v>4.5</v>
      </c>
    </row>
    <row r="74" ht="24.75" customHeight="1">
      <c r="B74" s="37" t="s">
        <v>48</v>
      </c>
      <c r="C74" s="3"/>
      <c r="D74" s="4"/>
      <c r="F74" s="37" t="s">
        <v>49</v>
      </c>
      <c r="G74" s="3"/>
      <c r="H74" s="4"/>
      <c r="J74" s="37" t="s">
        <v>50</v>
      </c>
      <c r="K74" s="3"/>
      <c r="L74" s="3"/>
      <c r="M74" s="4"/>
    </row>
    <row r="75">
      <c r="B75" s="38" t="s">
        <v>51</v>
      </c>
      <c r="C75" s="39" t="s">
        <v>52</v>
      </c>
      <c r="D75" s="39" t="s">
        <v>53</v>
      </c>
      <c r="F75" s="38" t="s">
        <v>51</v>
      </c>
      <c r="G75" s="39" t="s">
        <v>54</v>
      </c>
      <c r="H75" s="3"/>
      <c r="J75" s="39" t="s">
        <v>55</v>
      </c>
      <c r="K75" s="40" t="s">
        <v>56</v>
      </c>
      <c r="L75" s="40" t="s">
        <v>57</v>
      </c>
      <c r="M75" s="40" t="s">
        <v>50</v>
      </c>
    </row>
    <row r="76">
      <c r="B76" s="14" t="s">
        <v>58</v>
      </c>
      <c r="C76" s="41">
        <v>5.6</v>
      </c>
      <c r="D76" s="42">
        <f t="shared" ref="D76:D87" si="1">C76*30*0.8*$D$64</f>
        <v>10991.232</v>
      </c>
      <c r="F76" s="43" t="s">
        <v>58</v>
      </c>
      <c r="G76" s="44">
        <f t="shared" ref="G76:G87" si="2">D76*$D$66</f>
        <v>12310.17984</v>
      </c>
      <c r="H76" s="4"/>
      <c r="J76" s="5">
        <v>1.0</v>
      </c>
      <c r="K76" s="45">
        <f>G88</f>
        <v>129322.8357</v>
      </c>
      <c r="L76" s="45">
        <f>G88</f>
        <v>129322.8357</v>
      </c>
      <c r="M76" s="45">
        <f t="shared" ref="M76:M100" si="3">L76-$D$71</f>
        <v>-238687.1643</v>
      </c>
    </row>
    <row r="77">
      <c r="B77" s="14" t="s">
        <v>59</v>
      </c>
      <c r="C77" s="41">
        <v>5.75</v>
      </c>
      <c r="D77" s="42">
        <f t="shared" si="1"/>
        <v>11285.64</v>
      </c>
      <c r="F77" s="43" t="s">
        <v>59</v>
      </c>
      <c r="G77" s="44">
        <f t="shared" si="2"/>
        <v>12639.9168</v>
      </c>
      <c r="H77" s="4"/>
      <c r="J77" s="5">
        <v>2.0</v>
      </c>
      <c r="K77" s="45">
        <f t="shared" ref="K77:K100" si="4">(K76)*((1+($D$69/100))*($D$70))</f>
        <v>138970.3193</v>
      </c>
      <c r="L77" s="45">
        <f t="shared" ref="L77:L100" si="5">((L76)*(1+($D$68/100)))+K77</f>
        <v>273466.0684</v>
      </c>
      <c r="M77" s="45">
        <f t="shared" si="3"/>
        <v>-94543.9316</v>
      </c>
    </row>
    <row r="78">
      <c r="B78" s="14" t="s">
        <v>60</v>
      </c>
      <c r="C78" s="41">
        <v>5.09</v>
      </c>
      <c r="D78" s="42">
        <f t="shared" si="1"/>
        <v>9990.2448</v>
      </c>
      <c r="F78" s="43" t="s">
        <v>60</v>
      </c>
      <c r="G78" s="44">
        <f t="shared" si="2"/>
        <v>11189.07418</v>
      </c>
      <c r="H78" s="4"/>
      <c r="J78" s="5">
        <v>3.0</v>
      </c>
      <c r="K78" s="45">
        <f t="shared" si="4"/>
        <v>149337.5051</v>
      </c>
      <c r="L78" s="45">
        <f t="shared" si="5"/>
        <v>433742.2162</v>
      </c>
      <c r="M78" s="45">
        <f t="shared" si="3"/>
        <v>65732.21621</v>
      </c>
    </row>
    <row r="79">
      <c r="B79" s="14" t="s">
        <v>61</v>
      </c>
      <c r="C79" s="41">
        <v>4.62</v>
      </c>
      <c r="D79" s="42">
        <f t="shared" si="1"/>
        <v>9067.7664</v>
      </c>
      <c r="F79" s="43" t="s">
        <v>61</v>
      </c>
      <c r="G79" s="44">
        <f t="shared" si="2"/>
        <v>10155.89837</v>
      </c>
      <c r="H79" s="4"/>
      <c r="J79" s="5">
        <v>4.0</v>
      </c>
      <c r="K79" s="45">
        <f t="shared" si="4"/>
        <v>160478.083</v>
      </c>
      <c r="L79" s="45">
        <f t="shared" si="5"/>
        <v>611569.9878</v>
      </c>
      <c r="M79" s="45">
        <f t="shared" si="3"/>
        <v>243559.9878</v>
      </c>
    </row>
    <row r="80">
      <c r="B80" s="14" t="s">
        <v>62</v>
      </c>
      <c r="C80" s="41">
        <v>3.79</v>
      </c>
      <c r="D80" s="42">
        <f t="shared" si="1"/>
        <v>7438.7088</v>
      </c>
      <c r="F80" s="43" t="s">
        <v>62</v>
      </c>
      <c r="G80" s="44">
        <f t="shared" si="2"/>
        <v>8331.353856</v>
      </c>
      <c r="H80" s="4"/>
      <c r="J80" s="5">
        <v>5.0</v>
      </c>
      <c r="K80" s="45">
        <f t="shared" si="4"/>
        <v>172449.7479</v>
      </c>
      <c r="L80" s="45">
        <f t="shared" si="5"/>
        <v>808482.5353</v>
      </c>
      <c r="M80" s="45">
        <f t="shared" si="3"/>
        <v>440472.5353</v>
      </c>
    </row>
    <row r="81">
      <c r="B81" s="14" t="s">
        <v>63</v>
      </c>
      <c r="C81" s="41">
        <v>3.54</v>
      </c>
      <c r="D81" s="42">
        <f t="shared" si="1"/>
        <v>6948.0288</v>
      </c>
      <c r="F81" s="43" t="s">
        <v>63</v>
      </c>
      <c r="G81" s="44">
        <f t="shared" si="2"/>
        <v>7781.792256</v>
      </c>
      <c r="H81" s="4"/>
      <c r="J81" s="5">
        <v>6.0</v>
      </c>
      <c r="K81" s="45">
        <f t="shared" si="4"/>
        <v>185314.4991</v>
      </c>
      <c r="L81" s="45">
        <f t="shared" si="5"/>
        <v>1026136.336</v>
      </c>
      <c r="M81" s="45">
        <f t="shared" si="3"/>
        <v>658126.3358</v>
      </c>
    </row>
    <row r="82">
      <c r="B82" s="14" t="s">
        <v>64</v>
      </c>
      <c r="C82" s="41">
        <v>3.71</v>
      </c>
      <c r="D82" s="42">
        <f t="shared" si="1"/>
        <v>7281.6912</v>
      </c>
      <c r="F82" s="43" t="s">
        <v>64</v>
      </c>
      <c r="G82" s="44">
        <f t="shared" si="2"/>
        <v>8155.494144</v>
      </c>
      <c r="H82" s="4"/>
      <c r="J82" s="5">
        <v>7.0</v>
      </c>
      <c r="K82" s="45">
        <f t="shared" si="4"/>
        <v>199138.9608</v>
      </c>
      <c r="L82" s="45">
        <f t="shared" si="5"/>
        <v>1266320.75</v>
      </c>
      <c r="M82" s="45">
        <f t="shared" si="3"/>
        <v>898310.75</v>
      </c>
    </row>
    <row r="83">
      <c r="B83" s="14" t="s">
        <v>65</v>
      </c>
      <c r="C83" s="41">
        <v>4.61</v>
      </c>
      <c r="D83" s="42">
        <f t="shared" si="1"/>
        <v>9048.1392</v>
      </c>
      <c r="F83" s="43" t="s">
        <v>65</v>
      </c>
      <c r="G83" s="44">
        <f t="shared" si="2"/>
        <v>10133.9159</v>
      </c>
      <c r="H83" s="4"/>
      <c r="J83" s="5">
        <v>8.0</v>
      </c>
      <c r="K83" s="45">
        <f t="shared" si="4"/>
        <v>213994.7272</v>
      </c>
      <c r="L83" s="45">
        <f t="shared" si="5"/>
        <v>1530968.307</v>
      </c>
      <c r="M83" s="45">
        <f t="shared" si="3"/>
        <v>1162958.307</v>
      </c>
    </row>
    <row r="84">
      <c r="B84" s="14" t="s">
        <v>66</v>
      </c>
      <c r="C84" s="41">
        <v>4.84</v>
      </c>
      <c r="D84" s="42">
        <f t="shared" si="1"/>
        <v>9499.5648</v>
      </c>
      <c r="F84" s="43" t="s">
        <v>66</v>
      </c>
      <c r="G84" s="44">
        <f t="shared" si="2"/>
        <v>10639.51258</v>
      </c>
      <c r="H84" s="4"/>
      <c r="J84" s="5">
        <v>9.0</v>
      </c>
      <c r="K84" s="45">
        <f t="shared" si="4"/>
        <v>229958.7339</v>
      </c>
      <c r="L84" s="45">
        <f t="shared" si="5"/>
        <v>1822165.773</v>
      </c>
      <c r="M84" s="45">
        <f t="shared" si="3"/>
        <v>1454155.773</v>
      </c>
    </row>
    <row r="85">
      <c r="B85" s="14" t="s">
        <v>67</v>
      </c>
      <c r="C85" s="41">
        <v>5.48</v>
      </c>
      <c r="D85" s="42">
        <f t="shared" si="1"/>
        <v>10755.7056</v>
      </c>
      <c r="F85" s="43" t="s">
        <v>67</v>
      </c>
      <c r="G85" s="44">
        <f t="shared" si="2"/>
        <v>12046.39027</v>
      </c>
      <c r="H85" s="4"/>
      <c r="J85" s="5">
        <v>10.0</v>
      </c>
      <c r="K85" s="45">
        <f t="shared" si="4"/>
        <v>247113.6554</v>
      </c>
      <c r="L85" s="45">
        <f t="shared" si="5"/>
        <v>2142166.06</v>
      </c>
      <c r="M85" s="45">
        <f t="shared" si="3"/>
        <v>1774156.06</v>
      </c>
    </row>
    <row r="86">
      <c r="B86" s="14" t="s">
        <v>68</v>
      </c>
      <c r="C86" s="41">
        <v>5.68</v>
      </c>
      <c r="D86" s="42">
        <f t="shared" si="1"/>
        <v>11148.2496</v>
      </c>
      <c r="F86" s="43" t="s">
        <v>68</v>
      </c>
      <c r="G86" s="44">
        <f t="shared" si="2"/>
        <v>12486.03955</v>
      </c>
      <c r="H86" s="4"/>
      <c r="J86" s="5">
        <v>11.0</v>
      </c>
      <c r="K86" s="45">
        <f t="shared" si="4"/>
        <v>265548.3341</v>
      </c>
      <c r="L86" s="45">
        <f t="shared" si="5"/>
        <v>2493401.036</v>
      </c>
      <c r="M86" s="45">
        <f t="shared" si="3"/>
        <v>2125391.036</v>
      </c>
    </row>
    <row r="87">
      <c r="B87" s="14" t="s">
        <v>69</v>
      </c>
      <c r="C87" s="41">
        <v>6.12</v>
      </c>
      <c r="D87" s="42">
        <f t="shared" si="1"/>
        <v>12011.8464</v>
      </c>
      <c r="F87" s="43" t="s">
        <v>69</v>
      </c>
      <c r="G87" s="44">
        <f t="shared" si="2"/>
        <v>13453.26797</v>
      </c>
      <c r="H87" s="4"/>
      <c r="J87" s="5">
        <v>12.0</v>
      </c>
      <c r="K87" s="45">
        <f t="shared" si="4"/>
        <v>285358.2399</v>
      </c>
      <c r="L87" s="45">
        <f t="shared" si="5"/>
        <v>2878495.318</v>
      </c>
      <c r="M87" s="45">
        <f t="shared" si="3"/>
        <v>2510485.318</v>
      </c>
    </row>
    <row r="88">
      <c r="B88" s="46" t="s">
        <v>54</v>
      </c>
      <c r="C88" s="4"/>
      <c r="D88" s="42">
        <f>SUM(D76:D87)</f>
        <v>115466.8176</v>
      </c>
      <c r="F88" s="43" t="s">
        <v>54</v>
      </c>
      <c r="G88" s="44">
        <f>SUM(G76:H87)</f>
        <v>129322.8357</v>
      </c>
      <c r="H88" s="4"/>
      <c r="J88" s="5">
        <v>13.0</v>
      </c>
      <c r="K88" s="45">
        <f t="shared" si="4"/>
        <v>306645.9646</v>
      </c>
      <c r="L88" s="45">
        <f t="shared" si="5"/>
        <v>3300281.095</v>
      </c>
      <c r="M88" s="45">
        <f t="shared" si="3"/>
        <v>2932271.095</v>
      </c>
    </row>
    <row r="89">
      <c r="B89" s="46" t="s">
        <v>70</v>
      </c>
      <c r="C89" s="4"/>
      <c r="D89" s="42">
        <f>D88/12</f>
        <v>9622.2348</v>
      </c>
      <c r="J89" s="5">
        <v>14.0</v>
      </c>
      <c r="K89" s="45">
        <f t="shared" si="4"/>
        <v>329521.7535</v>
      </c>
      <c r="L89" s="45">
        <f t="shared" si="5"/>
        <v>3761814.092</v>
      </c>
      <c r="M89" s="45">
        <f t="shared" si="3"/>
        <v>3393804.092</v>
      </c>
    </row>
    <row r="90">
      <c r="J90" s="5">
        <v>15.0</v>
      </c>
      <c r="K90" s="45">
        <f t="shared" si="4"/>
        <v>354104.0763</v>
      </c>
      <c r="L90" s="45">
        <f t="shared" si="5"/>
        <v>4266390.732</v>
      </c>
      <c r="M90" s="45">
        <f t="shared" si="3"/>
        <v>3898380.732</v>
      </c>
    </row>
    <row r="91">
      <c r="J91" s="5">
        <v>16.0</v>
      </c>
      <c r="K91" s="45">
        <f t="shared" si="4"/>
        <v>380520.2404</v>
      </c>
      <c r="L91" s="45">
        <f t="shared" si="5"/>
        <v>4817566.602</v>
      </c>
      <c r="M91" s="45">
        <f t="shared" si="3"/>
        <v>4449556.602</v>
      </c>
    </row>
    <row r="92">
      <c r="J92" s="5">
        <v>17.0</v>
      </c>
      <c r="K92" s="45">
        <f t="shared" si="4"/>
        <v>408907.0504</v>
      </c>
      <c r="L92" s="45">
        <f t="shared" si="5"/>
        <v>5419176.316</v>
      </c>
      <c r="M92" s="45">
        <f t="shared" si="3"/>
        <v>5051166.316</v>
      </c>
    </row>
    <row r="93">
      <c r="J93" s="5">
        <v>18.0</v>
      </c>
      <c r="K93" s="45">
        <f t="shared" si="4"/>
        <v>439411.5163</v>
      </c>
      <c r="L93" s="45">
        <f t="shared" si="5"/>
        <v>6075354.885</v>
      </c>
      <c r="M93" s="45">
        <f t="shared" si="3"/>
        <v>5707344.885</v>
      </c>
    </row>
    <row r="94">
      <c r="J94" s="5">
        <v>19.0</v>
      </c>
      <c r="K94" s="45">
        <f t="shared" si="4"/>
        <v>472191.6154</v>
      </c>
      <c r="L94" s="45">
        <f t="shared" si="5"/>
        <v>6790560.696</v>
      </c>
      <c r="M94" s="45">
        <f t="shared" si="3"/>
        <v>6422550.696</v>
      </c>
    </row>
    <row r="95">
      <c r="J95" s="5">
        <v>20.0</v>
      </c>
      <c r="K95" s="45">
        <f t="shared" si="4"/>
        <v>507417.1099</v>
      </c>
      <c r="L95" s="45">
        <f t="shared" si="5"/>
        <v>7569600.234</v>
      </c>
      <c r="M95" s="45">
        <f t="shared" si="3"/>
        <v>7201590.234</v>
      </c>
    </row>
    <row r="96">
      <c r="J96" s="5">
        <v>21.0</v>
      </c>
      <c r="K96" s="45">
        <f t="shared" si="4"/>
        <v>545270.4264</v>
      </c>
      <c r="L96" s="45">
        <f t="shared" si="5"/>
        <v>8417654.67</v>
      </c>
      <c r="M96" s="45">
        <f t="shared" si="3"/>
        <v>8049644.67</v>
      </c>
    </row>
    <row r="97">
      <c r="J97" s="5">
        <v>22.0</v>
      </c>
      <c r="K97" s="45">
        <f t="shared" si="4"/>
        <v>585947.6002</v>
      </c>
      <c r="L97" s="45">
        <f t="shared" si="5"/>
        <v>9340308.457</v>
      </c>
      <c r="M97" s="45">
        <f t="shared" si="3"/>
        <v>8972298.457</v>
      </c>
    </row>
    <row r="98">
      <c r="J98" s="5">
        <v>23.0</v>
      </c>
      <c r="K98" s="45">
        <f t="shared" si="4"/>
        <v>629659.2911</v>
      </c>
      <c r="L98" s="45">
        <f t="shared" si="5"/>
        <v>10343580.09</v>
      </c>
      <c r="M98" s="45">
        <f t="shared" si="3"/>
        <v>9975570.086</v>
      </c>
    </row>
    <row r="99">
      <c r="J99" s="5">
        <v>24.0</v>
      </c>
      <c r="K99" s="45">
        <f t="shared" si="4"/>
        <v>676631.8742</v>
      </c>
      <c r="L99" s="45">
        <f t="shared" si="5"/>
        <v>11433955.16</v>
      </c>
      <c r="M99" s="45">
        <f t="shared" si="3"/>
        <v>11065945.16</v>
      </c>
    </row>
    <row r="100">
      <c r="J100" s="5">
        <v>25.0</v>
      </c>
      <c r="K100" s="45">
        <f t="shared" si="4"/>
        <v>727108.6121</v>
      </c>
      <c r="L100" s="45">
        <f t="shared" si="5"/>
        <v>12618421.98</v>
      </c>
      <c r="M100" s="45">
        <f t="shared" si="3"/>
        <v>12250411.98</v>
      </c>
    </row>
  </sheetData>
  <mergeCells count="66">
    <mergeCell ref="B74:D74"/>
    <mergeCell ref="F74:H74"/>
    <mergeCell ref="J74:M74"/>
    <mergeCell ref="G75:H75"/>
    <mergeCell ref="G76:H76"/>
    <mergeCell ref="G77:H77"/>
    <mergeCell ref="G78:H78"/>
    <mergeCell ref="G86:H86"/>
    <mergeCell ref="G87:H87"/>
    <mergeCell ref="B88:C88"/>
    <mergeCell ref="G88:H88"/>
    <mergeCell ref="B89:C89"/>
    <mergeCell ref="G79:H79"/>
    <mergeCell ref="G80:H80"/>
    <mergeCell ref="G81:H81"/>
    <mergeCell ref="G82:H82"/>
    <mergeCell ref="G83:H83"/>
    <mergeCell ref="G84:H84"/>
    <mergeCell ref="G85:H85"/>
    <mergeCell ref="A1:P1"/>
    <mergeCell ref="A3:P3"/>
    <mergeCell ref="F8:H16"/>
    <mergeCell ref="B18:C18"/>
    <mergeCell ref="B19:C19"/>
    <mergeCell ref="A21:P21"/>
    <mergeCell ref="B23:C23"/>
    <mergeCell ref="J37:K37"/>
    <mergeCell ref="N37:P41"/>
    <mergeCell ref="J38:K38"/>
    <mergeCell ref="J39:K39"/>
    <mergeCell ref="J45:K45"/>
    <mergeCell ref="N45:P48"/>
    <mergeCell ref="J46:K46"/>
    <mergeCell ref="J52:K52"/>
    <mergeCell ref="A43:P43"/>
    <mergeCell ref="A50:P50"/>
    <mergeCell ref="A56:P56"/>
    <mergeCell ref="J58:K58"/>
    <mergeCell ref="F23:J27"/>
    <mergeCell ref="A29:P29"/>
    <mergeCell ref="B31:C31"/>
    <mergeCell ref="F31:J33"/>
    <mergeCell ref="A35:P35"/>
    <mergeCell ref="B37:C37"/>
    <mergeCell ref="F37:H40"/>
    <mergeCell ref="B38:C38"/>
    <mergeCell ref="B39:C39"/>
    <mergeCell ref="B45:C45"/>
    <mergeCell ref="F45:H48"/>
    <mergeCell ref="B46:C46"/>
    <mergeCell ref="B52:C52"/>
    <mergeCell ref="F52:H54"/>
    <mergeCell ref="B58:C58"/>
    <mergeCell ref="B59:C59"/>
    <mergeCell ref="J59:K59"/>
    <mergeCell ref="A61:P61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</mergeCells>
  <hyperlinks>
    <hyperlink r:id="rId1" ref="F23"/>
  </hyperlinks>
  <drawing r:id="rId2"/>
</worksheet>
</file>